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DieseArbeitsmappe"/>
  <mc:AlternateContent xmlns:mc="http://schemas.openxmlformats.org/markup-compatibility/2006">
    <mc:Choice Requires="x15">
      <x15ac:absPath xmlns:x15ac="http://schemas.microsoft.com/office/spreadsheetml/2010/11/ac" url="C:\Lauf_D\Daten\Daten\Lindemann\AG FT\Sitzung_20191128\"/>
    </mc:Choice>
  </mc:AlternateContent>
  <bookViews>
    <workbookView xWindow="0" yWindow="0" windowWidth="30720" windowHeight="12936"/>
  </bookViews>
  <sheets>
    <sheet name="Projektmaßstab" sheetId="1" r:id="rId1"/>
    <sheet name="Transformation" sheetId="3" r:id="rId2"/>
    <sheet name="Parameter" sheetId="2" r:id="rId3"/>
  </sheets>
  <functionGroups builtInGroupCount="18"/>
  <definedNames>
    <definedName name="a_GRS80">Parameter!$B$2</definedName>
    <definedName name="b_GRS80">Parameter!$B$4</definedName>
    <definedName name="e_2">Parameter!$B$5</definedName>
    <definedName name="E_m">Projektmaßstab!$H$11</definedName>
    <definedName name="f_inv_GRS80">Parameter!$B$3</definedName>
    <definedName name="h_m">Projektmaßstab!$H$13</definedName>
    <definedName name="Hochwert">Projektmaßstab!$E$14</definedName>
    <definedName name="l_0">Projektmaßstab!$H$10</definedName>
    <definedName name="m_0">Parameter!$B$10</definedName>
    <definedName name="N_f">Projektmaßstab!$H$15</definedName>
    <definedName name="n_GRS80">Parameter!$B$7</definedName>
    <definedName name="N_m">Projektmaßstab!$H$12</definedName>
    <definedName name="Normalhoehe">Projektmaßstab!$E$15</definedName>
    <definedName name="Ostwert">Projektmaßstab!$E$13</definedName>
    <definedName name="phi_f">Projektmaßstab!$H$14</definedName>
    <definedName name="rho">Parameter!$B$13</definedName>
    <definedName name="UTM_Zone">Projektmaßstab!$E$12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3" i="1" l="1"/>
  <c r="B13" i="2"/>
  <c r="E39" i="1"/>
  <c r="E40" i="1"/>
  <c r="E41" i="1"/>
  <c r="E42" i="1"/>
  <c r="E38" i="1"/>
  <c r="C32" i="3" l="1"/>
  <c r="C31" i="3"/>
  <c r="C35" i="3" l="1"/>
  <c r="C15" i="3"/>
  <c r="C42" i="3" s="1"/>
  <c r="C14" i="3"/>
  <c r="C41" i="3" s="1"/>
  <c r="B3" i="3"/>
  <c r="B4" i="3"/>
  <c r="B5" i="3"/>
  <c r="B6" i="3"/>
  <c r="B7" i="3"/>
  <c r="B8" i="3"/>
  <c r="B9" i="3"/>
  <c r="B2" i="3"/>
  <c r="B1" i="3"/>
  <c r="H12" i="1" l="1"/>
  <c r="H11" i="1"/>
  <c r="H14" i="1"/>
  <c r="H16" i="1"/>
  <c r="B7" i="2" l="1"/>
  <c r="H13" i="1"/>
  <c r="H10" i="1"/>
  <c r="B4" i="2"/>
  <c r="B5" i="2" s="1"/>
  <c r="H17" i="1"/>
  <c r="H19" i="1"/>
  <c r="H15" i="1"/>
  <c r="H18" i="1"/>
  <c r="B19" i="1" l="1"/>
  <c r="C19" i="1" s="1"/>
  <c r="B18" i="1"/>
  <c r="C18" i="1" s="1"/>
  <c r="B21" i="1" l="1"/>
  <c r="B18" i="3" s="1"/>
  <c r="C18" i="3" l="1"/>
  <c r="B38" i="3"/>
  <c r="C38" i="3" s="1"/>
  <c r="B29" i="1"/>
  <c r="C29" i="1" s="1"/>
  <c r="C21" i="1"/>
  <c r="B28" i="1"/>
  <c r="C28" i="1" s="1"/>
  <c r="E45" i="1"/>
  <c r="E46" i="1" s="1"/>
  <c r="B34" i="1"/>
  <c r="C34" i="1" s="1"/>
  <c r="B33" i="1"/>
  <c r="C33" i="1" s="1"/>
  <c r="C25" i="1"/>
  <c r="B38" i="1" s="1"/>
  <c r="F38" i="1" s="1"/>
  <c r="B32" i="1"/>
  <c r="C32" i="1" s="1"/>
  <c r="B31" i="1"/>
  <c r="C31" i="1" s="1"/>
  <c r="B30" i="1"/>
  <c r="C30" i="1" s="1"/>
  <c r="B41" i="1" l="1"/>
  <c r="B39" i="1"/>
  <c r="B40" i="1"/>
  <c r="D38" i="1"/>
  <c r="B42" i="1"/>
  <c r="D42" i="1" l="1"/>
  <c r="F42" i="1"/>
  <c r="D39" i="1"/>
  <c r="F39" i="1"/>
  <c r="D40" i="1"/>
  <c r="F40" i="1"/>
  <c r="D41" i="1"/>
  <c r="F41" i="1"/>
</calcChain>
</file>

<file path=xl/sharedStrings.xml><?xml version="1.0" encoding="utf-8"?>
<sst xmlns="http://schemas.openxmlformats.org/spreadsheetml/2006/main" count="95" uniqueCount="72">
  <si>
    <t>a_GRS80</t>
  </si>
  <si>
    <t>f_inv_GRS80</t>
  </si>
  <si>
    <t>b_GRS80</t>
  </si>
  <si>
    <t>e^2</t>
  </si>
  <si>
    <t>Parameter des GRS80-Ellipsoids</t>
  </si>
  <si>
    <t>UTM_Zone</t>
  </si>
  <si>
    <r>
      <t xml:space="preserve">Geodätische Breite </t>
    </r>
    <r>
      <rPr>
        <sz val="11"/>
        <color theme="1"/>
        <rFont val="Symbol"/>
        <family val="1"/>
        <charset val="2"/>
      </rPr>
      <t>j</t>
    </r>
  </si>
  <si>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_0</t>
    </r>
  </si>
  <si>
    <t>E_M</t>
  </si>
  <si>
    <t>h_m</t>
  </si>
  <si>
    <t>n_GRS80</t>
  </si>
  <si>
    <t>phi_f</t>
  </si>
  <si>
    <t>N_f</t>
  </si>
  <si>
    <t>m_0</t>
  </si>
  <si>
    <t>N_m</t>
  </si>
  <si>
    <t>Winkelumrechnung</t>
  </si>
  <si>
    <t>rho</t>
  </si>
  <si>
    <t>Querkrümmumgsradius N(phi)</t>
  </si>
  <si>
    <t>Meridiankrümmungsradius</t>
  </si>
  <si>
    <t>R_Gauß</t>
  </si>
  <si>
    <t>Projektmaßstab</t>
  </si>
  <si>
    <t>Höhenmaßstab</t>
  </si>
  <si>
    <t>Projektionsmaßstab</t>
  </si>
  <si>
    <t>1m &lt; s &lt;= 3m</t>
  </si>
  <si>
    <t>s &lt;= 1m</t>
  </si>
  <si>
    <t>3m &lt; s &lt;= 6m</t>
  </si>
  <si>
    <t>6m &lt; s &lt;= 15m</t>
  </si>
  <si>
    <t>15m &lt; s &lt;= 30m</t>
  </si>
  <si>
    <t xml:space="preserve">30m &lt; s </t>
  </si>
  <si>
    <t>mittlere Normalhöhe (NHN) [m]</t>
  </si>
  <si>
    <t>Hochwert (North) [m]</t>
  </si>
  <si>
    <t>Ostwert (East) ohne Zonenkennziffer [m]</t>
  </si>
  <si>
    <t>Maßstäbe aus Höhenreduktion und UTM-Projektion</t>
  </si>
  <si>
    <t>Projizierte Strecke</t>
  </si>
  <si>
    <t>maximale Streckenlänge im Toleranzbereich der DIN 18202</t>
  </si>
  <si>
    <t>Streckenverzerrung</t>
  </si>
  <si>
    <t>Auswirkungen des Projektmaßstabs</t>
  </si>
  <si>
    <t>Projektparameter</t>
  </si>
  <si>
    <t>Liegenschaft:</t>
  </si>
  <si>
    <t>LgNr.:</t>
  </si>
  <si>
    <t>Projekt:</t>
  </si>
  <si>
    <t>Datum:</t>
  </si>
  <si>
    <t>Musterliegenschaft</t>
  </si>
  <si>
    <t>Musterprojekt</t>
  </si>
  <si>
    <t>Dienststelle:</t>
  </si>
  <si>
    <t>Am Musterweg 9, 99999 Musterdorf</t>
  </si>
  <si>
    <t>Musteramt</t>
  </si>
  <si>
    <t>Eingabe</t>
  </si>
  <si>
    <t>Schwerpunktverschiebung in den Nullpunkt</t>
  </si>
  <si>
    <t>Verschiebung in Ost-Richtung</t>
  </si>
  <si>
    <t>Verschiebung in Nord-Richtung</t>
  </si>
  <si>
    <t>Maßstab</t>
  </si>
  <si>
    <t>Drehung</t>
  </si>
  <si>
    <t>°</t>
  </si>
  <si>
    <t>Drehwinkel (Dezimalgrad) gegen den Uhrzeigersinn</t>
  </si>
  <si>
    <t>Nullpunktanpassung</t>
  </si>
  <si>
    <t>Verschiebung in X-Richtung (Nord)</t>
  </si>
  <si>
    <t>m</t>
  </si>
  <si>
    <t>Transformation ETRS89/UTM --&gt; lokal</t>
  </si>
  <si>
    <t>Maßstabanpassung</t>
  </si>
  <si>
    <t>Transformation lokal --&gt; ETRS89/UTM</t>
  </si>
  <si>
    <t xml:space="preserve">Schwerpunktverschiebung </t>
  </si>
  <si>
    <t>Maßstab UTM-Abbildung</t>
  </si>
  <si>
    <t>Verschiebung in Y-Richtung (Ost)</t>
  </si>
  <si>
    <t>Zulässige Objektmaßabweichungen gemäß DIN 18202 und DIN 18710-1</t>
  </si>
  <si>
    <t>Grenzabweichungen DIN 18202</t>
  </si>
  <si>
    <t>Grenzabweichungen DIN 18710-1</t>
  </si>
  <si>
    <t>Strecken-abweichung</t>
  </si>
  <si>
    <t>Nennmaß-bereiche</t>
  </si>
  <si>
    <t>Strecke auf Geländeniveau</t>
  </si>
  <si>
    <t>maximale Streckenlänge im Toleranzbereich der DIN 18710</t>
  </si>
  <si>
    <t>Streckenabweichung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</si>
</sst>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000"/>
    <numFmt numFmtId="165" formatCode="0.000"/>
    <numFmt numFmtId="166" formatCode="0.00000"/>
    <numFmt numFmtId="167" formatCode="0.0\ &quot;cm/100m&quot;"/>
    <numFmt numFmtId="168" formatCode="0.0\ &quot;cm&quot;"/>
    <numFmt numFmtId="169" formatCode="0.000\ &quot;m&quot;"/>
    <numFmt numFmtId="170" formatCode="0.0\ &quot;m&quot;"/>
    <numFmt numFmtId="171" formatCode="0.0\ &quot;ppm&quot;"/>
    <numFmt numFmtId="172" formatCode="0.0000000"/>
    <numFmt numFmtId="173" formatCode="#,###"/>
    <numFmt numFmtId="174" formatCode="#,##0.00000"/>
    <numFmt numFmtId="175" formatCode="#,###.000"/>
    <numFmt numFmtId="176" formatCode="0.00\ &quot;m&quot;"/>
  </numFmts>
  <fonts count="1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Wingdings 2"/>
      <family val="1"/>
      <charset val="2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/>
      <bottom/>
      <diagonal/>
    </border>
    <border>
      <left/>
      <right/>
      <top style="thick">
        <color theme="4" tint="0.499984740745262"/>
      </top>
      <bottom/>
      <diagonal/>
    </border>
    <border>
      <left style="thin">
        <color indexed="64"/>
      </left>
      <right/>
      <top style="thick">
        <color theme="4" tint="0.499984740745262"/>
      </top>
      <bottom style="thin">
        <color indexed="64"/>
      </bottom>
      <diagonal/>
    </border>
    <border>
      <left/>
      <right style="thin">
        <color indexed="64"/>
      </right>
      <top style="thick">
        <color theme="4" tint="0.499984740745262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rgb="FF3F3F3F"/>
      </top>
      <bottom style="thin">
        <color indexed="64"/>
      </bottom>
      <diagonal/>
    </border>
    <border>
      <left style="thin">
        <color rgb="FF7F7F7F"/>
      </left>
      <right/>
      <top style="thick">
        <color theme="4" tint="0.499984740745262"/>
      </top>
      <bottom/>
      <diagonal/>
    </border>
    <border>
      <left/>
      <right style="thin">
        <color indexed="64"/>
      </right>
      <top style="thick">
        <color theme="4" tint="0.499984740745262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4" fillId="2" borderId="1" applyNumberFormat="0" applyAlignment="0" applyProtection="0"/>
    <xf numFmtId="0" fontId="6" fillId="0" borderId="2" applyNumberFormat="0" applyFill="0" applyAlignment="0" applyProtection="0"/>
    <xf numFmtId="0" fontId="7" fillId="3" borderId="3" applyNumberFormat="0" applyAlignment="0" applyProtection="0"/>
    <xf numFmtId="0" fontId="9" fillId="5" borderId="0" applyNumberFormat="0" applyBorder="0" applyAlignment="0" applyProtection="0"/>
  </cellStyleXfs>
  <cellXfs count="56">
    <xf numFmtId="0" fontId="0" fillId="0" borderId="0" xfId="0"/>
    <xf numFmtId="164" fontId="0" fillId="0" borderId="0" xfId="0" applyNumberFormat="1"/>
    <xf numFmtId="0" fontId="1" fillId="0" borderId="0" xfId="0" applyFont="1"/>
    <xf numFmtId="0" fontId="3" fillId="0" borderId="0" xfId="0" applyFont="1"/>
    <xf numFmtId="165" fontId="0" fillId="0" borderId="0" xfId="0" applyNumberFormat="1"/>
    <xf numFmtId="0" fontId="5" fillId="0" borderId="0" xfId="0" applyFont="1"/>
    <xf numFmtId="0" fontId="6" fillId="4" borderId="2" xfId="2" applyFill="1"/>
    <xf numFmtId="166" fontId="0" fillId="0" borderId="0" xfId="0" applyNumberFormat="1"/>
    <xf numFmtId="0" fontId="5" fillId="0" borderId="4" xfId="0" applyFont="1" applyBorder="1" applyAlignment="1">
      <alignment horizontal="center"/>
    </xf>
    <xf numFmtId="168" fontId="0" fillId="0" borderId="4" xfId="0" applyNumberFormat="1" applyBorder="1" applyAlignment="1">
      <alignment horizontal="right"/>
    </xf>
    <xf numFmtId="170" fontId="0" fillId="0" borderId="4" xfId="0" applyNumberFormat="1" applyBorder="1" applyAlignment="1">
      <alignment horizontal="right"/>
    </xf>
    <xf numFmtId="169" fontId="0" fillId="0" borderId="4" xfId="0" applyNumberFormat="1" applyBorder="1" applyAlignment="1">
      <alignment horizontal="right"/>
    </xf>
    <xf numFmtId="0" fontId="0" fillId="0" borderId="0" xfId="0" applyFont="1"/>
    <xf numFmtId="166" fontId="0" fillId="0" borderId="0" xfId="0" applyNumberFormat="1" applyFont="1"/>
    <xf numFmtId="166" fontId="5" fillId="0" borderId="0" xfId="0" applyNumberFormat="1" applyFont="1"/>
    <xf numFmtId="168" fontId="0" fillId="0" borderId="5" xfId="0" applyNumberFormat="1" applyBorder="1" applyAlignment="1">
      <alignment horizontal="right"/>
    </xf>
    <xf numFmtId="0" fontId="8" fillId="0" borderId="6" xfId="0" applyFont="1" applyBorder="1"/>
    <xf numFmtId="14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center"/>
    </xf>
    <xf numFmtId="165" fontId="0" fillId="0" borderId="8" xfId="0" applyNumberFormat="1" applyFont="1" applyBorder="1" applyAlignment="1">
      <alignment horizontal="center"/>
    </xf>
    <xf numFmtId="165" fontId="0" fillId="0" borderId="0" xfId="0" applyNumberFormat="1" applyFont="1" applyAlignment="1">
      <alignment horizontal="center"/>
    </xf>
    <xf numFmtId="0" fontId="7" fillId="3" borderId="3" xfId="3"/>
    <xf numFmtId="173" fontId="7" fillId="3" borderId="3" xfId="3" applyNumberFormat="1"/>
    <xf numFmtId="172" fontId="7" fillId="3" borderId="3" xfId="3" applyNumberFormat="1"/>
    <xf numFmtId="174" fontId="7" fillId="3" borderId="3" xfId="3" applyNumberFormat="1"/>
    <xf numFmtId="175" fontId="7" fillId="3" borderId="3" xfId="3" applyNumberFormat="1"/>
    <xf numFmtId="167" fontId="5" fillId="0" borderId="0" xfId="0" applyNumberFormat="1" applyFont="1"/>
    <xf numFmtId="167" fontId="0" fillId="0" borderId="0" xfId="0" applyNumberFormat="1"/>
    <xf numFmtId="0" fontId="5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7" fillId="4" borderId="3" xfId="3" applyFill="1" applyAlignment="1">
      <alignment vertical="top" wrapText="1"/>
    </xf>
    <xf numFmtId="0" fontId="7" fillId="4" borderId="3" xfId="3" applyFill="1" applyAlignment="1">
      <alignment horizontal="center" vertical="top" wrapText="1"/>
    </xf>
    <xf numFmtId="171" fontId="5" fillId="0" borderId="0" xfId="0" applyNumberFormat="1" applyFont="1" applyAlignment="1"/>
    <xf numFmtId="0" fontId="0" fillId="0" borderId="0" xfId="0" applyAlignment="1">
      <alignment vertical="top" wrapText="1"/>
    </xf>
    <xf numFmtId="0" fontId="7" fillId="4" borderId="4" xfId="3" applyFill="1" applyBorder="1" applyAlignment="1">
      <alignment vertical="top" wrapText="1"/>
    </xf>
    <xf numFmtId="168" fontId="0" fillId="0" borderId="0" xfId="0" applyNumberFormat="1" applyBorder="1" applyAlignment="1">
      <alignment horizontal="right"/>
    </xf>
    <xf numFmtId="166" fontId="4" fillId="2" borderId="1" xfId="1" applyNumberFormat="1" applyProtection="1">
      <protection locked="0"/>
    </xf>
    <xf numFmtId="165" fontId="4" fillId="2" borderId="1" xfId="1" applyNumberFormat="1" applyProtection="1">
      <protection locked="0"/>
    </xf>
    <xf numFmtId="0" fontId="7" fillId="4" borderId="11" xfId="3" applyFill="1" applyBorder="1" applyAlignment="1">
      <alignment horizontal="center" vertical="top" wrapText="1"/>
    </xf>
    <xf numFmtId="168" fontId="0" fillId="0" borderId="12" xfId="0" applyNumberFormat="1" applyBorder="1" applyAlignment="1">
      <alignment horizontal="right"/>
    </xf>
    <xf numFmtId="0" fontId="8" fillId="0" borderId="4" xfId="0" applyFont="1" applyBorder="1"/>
    <xf numFmtId="0" fontId="7" fillId="4" borderId="9" xfId="3" applyFill="1" applyBorder="1" applyAlignment="1">
      <alignment horizontal="center" vertical="top" wrapText="1"/>
    </xf>
    <xf numFmtId="0" fontId="7" fillId="4" borderId="10" xfId="3" applyFill="1" applyBorder="1" applyAlignment="1">
      <alignment horizontal="center" vertical="top" wrapText="1"/>
    </xf>
    <xf numFmtId="0" fontId="5" fillId="0" borderId="0" xfId="0" applyFont="1" applyAlignment="1">
      <alignment vertical="top" wrapText="1"/>
    </xf>
    <xf numFmtId="176" fontId="5" fillId="0" borderId="0" xfId="0" applyNumberFormat="1" applyFont="1" applyAlignment="1">
      <alignment horizontal="right" vertical="top"/>
    </xf>
    <xf numFmtId="0" fontId="0" fillId="0" borderId="0" xfId="0" applyProtection="1">
      <protection locked="0"/>
    </xf>
    <xf numFmtId="0" fontId="6" fillId="4" borderId="2" xfId="2" applyFill="1" applyAlignment="1">
      <alignment horizontal="center"/>
    </xf>
    <xf numFmtId="2" fontId="4" fillId="2" borderId="7" xfId="1" applyNumberFormat="1" applyBorder="1" applyProtection="1">
      <protection locked="0"/>
    </xf>
    <xf numFmtId="2" fontId="4" fillId="2" borderId="15" xfId="1" applyNumberFormat="1" applyBorder="1" applyProtection="1">
      <protection locked="0"/>
    </xf>
    <xf numFmtId="0" fontId="4" fillId="2" borderId="13" xfId="1" applyBorder="1" applyProtection="1">
      <protection locked="0"/>
    </xf>
    <xf numFmtId="0" fontId="4" fillId="2" borderId="14" xfId="1" applyBorder="1" applyProtection="1"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49" fontId="0" fillId="0" borderId="0" xfId="0" applyNumberFormat="1" applyProtection="1">
      <protection locked="0"/>
    </xf>
    <xf numFmtId="0" fontId="10" fillId="5" borderId="0" xfId="4" applyFont="1" applyAlignment="1">
      <alignment horizontal="center"/>
    </xf>
    <xf numFmtId="167" fontId="0" fillId="0" borderId="8" xfId="0" applyNumberFormat="1" applyBorder="1"/>
  </cellXfs>
  <cellStyles count="5">
    <cellStyle name="Akzent1" xfId="4" builtinId="29"/>
    <cellStyle name="Ausgabe" xfId="3" builtinId="21"/>
    <cellStyle name="Eingabe" xfId="1" builtinId="20"/>
    <cellStyle name="Standard" xfId="0" builtinId="0"/>
    <cellStyle name="Überschrift 2" xfId="2" builtinId="17"/>
  </cellStyles>
  <dxfs count="8"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0</xdr:rowOff>
    </xdr:from>
    <xdr:to>
      <xdr:col>3</xdr:col>
      <xdr:colOff>742950</xdr:colOff>
      <xdr:row>20</xdr:row>
      <xdr:rowOff>15239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4F9E3BE-C924-4D79-8267-D6B9A0006B7D}"/>
            </a:ext>
          </a:extLst>
        </xdr:cNvPr>
        <xdr:cNvSpPr txBox="1"/>
      </xdr:nvSpPr>
      <xdr:spPr>
        <a:xfrm>
          <a:off x="19050" y="2590800"/>
          <a:ext cx="4781550" cy="111251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de-DE" sz="1100"/>
            <a:t>Die hier aufgeführten Parameter dienen als Grundlage zur Berechnung der Höhen</a:t>
          </a:r>
          <a:r>
            <a:rPr lang="de-DE" sz="1100" baseline="0"/>
            <a:t> und Projektionsverzerrungen.</a:t>
          </a:r>
        </a:p>
        <a:p>
          <a:endParaRPr lang="de-DE" sz="1100" baseline="0"/>
        </a:p>
        <a:p>
          <a:r>
            <a:rPr lang="de-DE" sz="1100" baseline="0"/>
            <a:t>Diese sind nicht editierbar und das Tabellenblatt ist gegen Veränderungen geschützt!</a:t>
          </a:r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46"/>
  <sheetViews>
    <sheetView tabSelected="1" zoomScaleNormal="100" workbookViewId="0">
      <selection activeCell="K27" sqref="K27"/>
    </sheetView>
  </sheetViews>
  <sheetFormatPr baseColWidth="10" defaultRowHeight="14.4"/>
  <cols>
    <col min="1" max="2" width="15.6640625" customWidth="1"/>
    <col min="3" max="3" width="19" customWidth="1"/>
    <col min="4" max="4" width="4" customWidth="1"/>
    <col min="5" max="5" width="19" customWidth="1"/>
    <col min="6" max="6" width="4" customWidth="1"/>
    <col min="7" max="7" width="28.44140625" hidden="1" customWidth="1"/>
    <col min="8" max="8" width="12.5546875" hidden="1" customWidth="1"/>
  </cols>
  <sheetData>
    <row r="1" spans="1:8">
      <c r="A1" s="5" t="s">
        <v>38</v>
      </c>
      <c r="B1" s="5"/>
      <c r="C1" s="45" t="s">
        <v>42</v>
      </c>
      <c r="D1" s="45"/>
      <c r="E1" s="45"/>
      <c r="F1" s="45"/>
    </row>
    <row r="2" spans="1:8">
      <c r="A2" s="5"/>
      <c r="B2" s="5"/>
      <c r="C2" s="45" t="s">
        <v>45</v>
      </c>
      <c r="D2" s="45"/>
      <c r="E2" s="45"/>
      <c r="F2" s="45"/>
    </row>
    <row r="3" spans="1:8">
      <c r="A3" s="5" t="s">
        <v>39</v>
      </c>
      <c r="B3" s="5"/>
      <c r="C3" s="52">
        <v>123789</v>
      </c>
      <c r="D3" s="52"/>
      <c r="E3" s="52"/>
      <c r="F3" s="52"/>
    </row>
    <row r="4" spans="1:8">
      <c r="A4" s="5" t="s">
        <v>44</v>
      </c>
      <c r="B4" s="5"/>
      <c r="C4" s="52" t="s">
        <v>46</v>
      </c>
      <c r="D4" s="52"/>
      <c r="E4" s="52"/>
      <c r="F4" s="52"/>
    </row>
    <row r="5" spans="1:8">
      <c r="A5" s="5"/>
      <c r="B5" s="5"/>
      <c r="C5" s="45" t="s">
        <v>45</v>
      </c>
      <c r="D5" s="45"/>
      <c r="E5" s="45"/>
      <c r="F5" s="45"/>
    </row>
    <row r="6" spans="1:8">
      <c r="A6" s="5"/>
      <c r="B6" s="5"/>
      <c r="C6" s="45"/>
      <c r="D6" s="45"/>
      <c r="E6" s="45"/>
      <c r="F6" s="45"/>
    </row>
    <row r="7" spans="1:8">
      <c r="A7" s="5" t="s">
        <v>40</v>
      </c>
      <c r="B7" s="5"/>
      <c r="C7" s="45" t="s">
        <v>43</v>
      </c>
      <c r="D7" s="45"/>
      <c r="E7" s="45"/>
      <c r="F7" s="45"/>
    </row>
    <row r="8" spans="1:8">
      <c r="A8" s="5"/>
      <c r="B8" s="5"/>
      <c r="C8" s="45"/>
      <c r="D8" s="45"/>
      <c r="E8" s="45"/>
      <c r="F8" s="45"/>
    </row>
    <row r="9" spans="1:8">
      <c r="A9" s="5" t="s">
        <v>41</v>
      </c>
      <c r="B9" s="5"/>
      <c r="C9" s="51">
        <v>43678</v>
      </c>
      <c r="D9" s="51"/>
      <c r="E9" s="51"/>
      <c r="F9" s="51"/>
    </row>
    <row r="10" spans="1:8">
      <c r="G10" s="3" t="s">
        <v>7</v>
      </c>
      <c r="H10">
        <f>IF(UTM_Zone&lt;&gt;"",UTM_Zone*6-183,"")</f>
        <v>9</v>
      </c>
    </row>
    <row r="11" spans="1:8" ht="18" thickBot="1">
      <c r="A11" s="6" t="s">
        <v>37</v>
      </c>
      <c r="B11" s="6"/>
      <c r="C11" s="6"/>
      <c r="D11" s="6"/>
      <c r="E11" s="46" t="s">
        <v>47</v>
      </c>
      <c r="F11" s="46"/>
      <c r="G11" t="s">
        <v>8</v>
      </c>
      <c r="H11" s="4">
        <f>IF(Ostwert&lt;&gt;"",(Ostwert-500000)/m_0,"")</f>
        <v>-79908.840536214455</v>
      </c>
    </row>
    <row r="12" spans="1:8" ht="15" thickTop="1">
      <c r="A12" s="5" t="s">
        <v>5</v>
      </c>
      <c r="B12" s="5"/>
      <c r="E12" s="49">
        <v>32</v>
      </c>
      <c r="F12" s="50"/>
      <c r="G12" t="s">
        <v>14</v>
      </c>
      <c r="H12" s="4">
        <f>IF(Hochwert&lt;&gt;"",Hochwert/m_0,"")</f>
        <v>5791439.575830332</v>
      </c>
    </row>
    <row r="13" spans="1:8">
      <c r="A13" s="5" t="s">
        <v>31</v>
      </c>
      <c r="B13" s="5"/>
      <c r="E13" s="47">
        <v>420123.12300000002</v>
      </c>
      <c r="F13" s="48"/>
      <c r="G13" t="s">
        <v>9</v>
      </c>
      <c r="H13">
        <f>IF(Normalhoehe&lt;&gt;"",Normalhoehe+42.5,"")</f>
        <v>142.5</v>
      </c>
    </row>
    <row r="14" spans="1:8">
      <c r="A14" s="5" t="s">
        <v>30</v>
      </c>
      <c r="B14" s="5"/>
      <c r="E14" s="47">
        <v>5789123</v>
      </c>
      <c r="F14" s="48"/>
      <c r="G14" t="s">
        <v>11</v>
      </c>
      <c r="H14">
        <f>IF(Hochwert&lt;&gt;"",fusspunktsbreite(a_GRS80,b_GRS80,Hochwert)*rho,"")</f>
        <v>52.231684674240867</v>
      </c>
    </row>
    <row r="15" spans="1:8">
      <c r="A15" s="5" t="s">
        <v>29</v>
      </c>
      <c r="B15" s="5"/>
      <c r="E15" s="47">
        <v>100</v>
      </c>
      <c r="F15" s="48"/>
      <c r="G15" t="s">
        <v>12</v>
      </c>
      <c r="H15">
        <f>Querkruemmungsradius(a_GRS80,b_GRS80,phi_f)</f>
        <v>6396396.5121543696</v>
      </c>
    </row>
    <row r="16" spans="1:8">
      <c r="G16" t="s">
        <v>6</v>
      </c>
      <c r="H16">
        <f>EastNorth2Phi(a_GRS80,b_GRS80,E_m,N_m)*rho</f>
        <v>52.246706072875668</v>
      </c>
    </row>
    <row r="17" spans="1:8" ht="18" thickBot="1">
      <c r="A17" s="6" t="s">
        <v>32</v>
      </c>
      <c r="B17" s="6"/>
      <c r="C17" s="6"/>
      <c r="D17" s="6"/>
      <c r="E17" s="6"/>
      <c r="F17" s="6"/>
      <c r="G17" t="s">
        <v>17</v>
      </c>
      <c r="H17">
        <f>Querkruemmungsradius(a_GRS80,b_GRS80,H16/rho)</f>
        <v>6391524.9257433889</v>
      </c>
    </row>
    <row r="18" spans="1:8" ht="15" thickTop="1">
      <c r="A18" s="12" t="s">
        <v>21</v>
      </c>
      <c r="B18" s="7">
        <f>1-h_m/H19</f>
        <v>0.99997767670555493</v>
      </c>
      <c r="C18" s="27">
        <f>(B18-1)*100^2</f>
        <v>-0.22323294445070196</v>
      </c>
      <c r="D18" s="27"/>
      <c r="F18" s="27"/>
      <c r="G18" t="s">
        <v>18</v>
      </c>
      <c r="H18">
        <f>Meridiankruemmungsradius(a_GRS80,b_GRS80,H16/rho)</f>
        <v>6375418.0320768133</v>
      </c>
    </row>
    <row r="19" spans="1:8">
      <c r="A19" s="12" t="s">
        <v>22</v>
      </c>
      <c r="B19" s="13">
        <f>m_0*(1+E_m^2/2/m_0^2/H19^2)</f>
        <v>0.99967838270768483</v>
      </c>
      <c r="C19" s="27">
        <f>(B19-1)*100^2</f>
        <v>-3.2161729231516833</v>
      </c>
      <c r="D19" s="27"/>
      <c r="F19" s="27"/>
      <c r="G19" t="s">
        <v>19</v>
      </c>
      <c r="H19">
        <f>R_Gauss(a_GRS80,b_GRS80,H16/rho)</f>
        <v>6383466.398756464</v>
      </c>
    </row>
    <row r="21" spans="1:8">
      <c r="A21" s="5" t="s">
        <v>20</v>
      </c>
      <c r="B21" s="14">
        <f>B18*B19</f>
        <v>0.99965606659279727</v>
      </c>
      <c r="C21" s="26">
        <f>(B21-1)*100^2</f>
        <v>-3.4393340720273446</v>
      </c>
      <c r="D21" s="26"/>
      <c r="F21" s="26"/>
    </row>
    <row r="23" spans="1:8" ht="18" thickBot="1">
      <c r="A23" s="6" t="s">
        <v>36</v>
      </c>
      <c r="B23" s="6"/>
      <c r="C23" s="6"/>
      <c r="D23" s="6"/>
      <c r="E23" s="6"/>
      <c r="F23" s="6"/>
    </row>
    <row r="24" spans="1:8" ht="15" thickTop="1">
      <c r="A24" s="5"/>
      <c r="B24" s="5"/>
      <c r="C24" s="32"/>
      <c r="D24" s="32"/>
      <c r="F24" s="32"/>
    </row>
    <row r="25" spans="1:8">
      <c r="A25" s="5" t="s">
        <v>35</v>
      </c>
      <c r="B25" s="5"/>
      <c r="C25" s="32">
        <f>(B21-1)*10^6</f>
        <v>-343.93340720273449</v>
      </c>
      <c r="D25" s="32"/>
      <c r="F25" s="32"/>
    </row>
    <row r="26" spans="1:8">
      <c r="A26" s="5"/>
      <c r="B26" s="5"/>
      <c r="C26" s="32"/>
      <c r="D26" s="32"/>
      <c r="F26" s="32"/>
    </row>
    <row r="27" spans="1:8" s="29" customFormat="1" ht="28.8">
      <c r="A27" s="30" t="s">
        <v>69</v>
      </c>
      <c r="B27" s="31" t="s">
        <v>33</v>
      </c>
      <c r="C27" s="38" t="s">
        <v>71</v>
      </c>
    </row>
    <row r="28" spans="1:8">
      <c r="A28" s="10">
        <v>5</v>
      </c>
      <c r="B28" s="11">
        <f t="shared" ref="B28:B34" si="0">A28*$B$21</f>
        <v>4.9982803329639864</v>
      </c>
      <c r="C28" s="39">
        <f t="shared" ref="C28:C34" si="1">(B28-A28)*100</f>
        <v>-0.17196670360135613</v>
      </c>
      <c r="D28" s="35"/>
      <c r="E28" s="29"/>
    </row>
    <row r="29" spans="1:8">
      <c r="A29" s="10">
        <v>10</v>
      </c>
      <c r="B29" s="11">
        <f t="shared" si="0"/>
        <v>9.9965606659279729</v>
      </c>
      <c r="C29" s="9">
        <f t="shared" si="1"/>
        <v>-0.34393340720271226</v>
      </c>
      <c r="D29" s="35"/>
      <c r="E29" s="29"/>
    </row>
    <row r="30" spans="1:8">
      <c r="A30" s="10">
        <v>25</v>
      </c>
      <c r="B30" s="11">
        <f t="shared" si="0"/>
        <v>24.991401664819932</v>
      </c>
      <c r="C30" s="9">
        <f t="shared" si="1"/>
        <v>-0.85983351800678065</v>
      </c>
      <c r="D30" s="35"/>
      <c r="E30" s="29"/>
      <c r="F30" s="29"/>
    </row>
    <row r="31" spans="1:8">
      <c r="A31" s="10">
        <v>50</v>
      </c>
      <c r="B31" s="11">
        <f t="shared" si="0"/>
        <v>49.982803329639864</v>
      </c>
      <c r="C31" s="9">
        <f t="shared" si="1"/>
        <v>-1.7196670360135613</v>
      </c>
      <c r="D31" s="35"/>
      <c r="E31" s="29"/>
    </row>
    <row r="32" spans="1:8">
      <c r="A32" s="10">
        <v>100</v>
      </c>
      <c r="B32" s="11">
        <f t="shared" si="0"/>
        <v>99.965606659279729</v>
      </c>
      <c r="C32" s="9">
        <f t="shared" si="1"/>
        <v>-3.4393340720271226</v>
      </c>
      <c r="D32" s="35"/>
      <c r="E32" s="29"/>
    </row>
    <row r="33" spans="1:9">
      <c r="A33" s="10">
        <v>250</v>
      </c>
      <c r="B33" s="11">
        <f t="shared" si="0"/>
        <v>249.91401664819932</v>
      </c>
      <c r="C33" s="9">
        <f t="shared" si="1"/>
        <v>-8.5983351800678065</v>
      </c>
      <c r="D33" s="35"/>
      <c r="E33" s="29"/>
      <c r="I33" s="29"/>
    </row>
    <row r="34" spans="1:9">
      <c r="A34" s="10">
        <v>500</v>
      </c>
      <c r="B34" s="11">
        <f t="shared" si="0"/>
        <v>499.82803329639864</v>
      </c>
      <c r="C34" s="9">
        <f t="shared" si="1"/>
        <v>-17.196670360135613</v>
      </c>
      <c r="D34" s="35"/>
      <c r="E34" s="29"/>
    </row>
    <row r="36" spans="1:9" ht="18" thickBot="1">
      <c r="A36" s="6" t="s">
        <v>64</v>
      </c>
      <c r="B36" s="6"/>
      <c r="C36" s="6"/>
      <c r="D36" s="6"/>
      <c r="E36" s="6"/>
      <c r="F36" s="6"/>
    </row>
    <row r="37" spans="1:9" s="33" customFormat="1" ht="30" customHeight="1" thickTop="1">
      <c r="A37" s="30" t="s">
        <v>68</v>
      </c>
      <c r="B37" s="34" t="s">
        <v>67</v>
      </c>
      <c r="C37" s="41" t="s">
        <v>65</v>
      </c>
      <c r="D37" s="42"/>
      <c r="E37" s="41" t="s">
        <v>66</v>
      </c>
      <c r="F37" s="42"/>
    </row>
    <row r="38" spans="1:9">
      <c r="A38" s="8" t="s">
        <v>24</v>
      </c>
      <c r="B38" s="15">
        <f>(C25/1000/10)</f>
        <v>-3.4393340720273446E-2</v>
      </c>
      <c r="C38" s="9">
        <v>1</v>
      </c>
      <c r="D38" s="16" t="str">
        <f>IF(ABS(B38)&gt;=C38,"O","P")</f>
        <v>P</v>
      </c>
      <c r="E38" s="9">
        <f>0.44*C38</f>
        <v>0.44</v>
      </c>
      <c r="F38" s="16" t="str">
        <f>IF(ABS(B38)&gt;=E38,"O","P")</f>
        <v>P</v>
      </c>
    </row>
    <row r="39" spans="1:9">
      <c r="A39" s="8" t="s">
        <v>23</v>
      </c>
      <c r="B39" s="15">
        <f>B38*3</f>
        <v>-0.10318002216082034</v>
      </c>
      <c r="C39" s="9">
        <v>1.2</v>
      </c>
      <c r="D39" s="16" t="str">
        <f>IF(ABS(B39)&gt;=C39,"O","P")</f>
        <v>P</v>
      </c>
      <c r="E39" s="9">
        <f t="shared" ref="E39:E43" si="2">0.44*C39</f>
        <v>0.52800000000000002</v>
      </c>
      <c r="F39" s="16" t="str">
        <f t="shared" ref="F39:F42" si="3">IF(ABS(B39)&gt;=E39,"O","P")</f>
        <v>P</v>
      </c>
    </row>
    <row r="40" spans="1:9">
      <c r="A40" s="8" t="s">
        <v>25</v>
      </c>
      <c r="B40" s="15">
        <f>B38*6</f>
        <v>-0.20636004432164068</v>
      </c>
      <c r="C40" s="9">
        <v>1.6</v>
      </c>
      <c r="D40" s="16" t="str">
        <f>IF(ABS(B40)&gt;=C40,"O","P")</f>
        <v>P</v>
      </c>
      <c r="E40" s="9">
        <f t="shared" si="2"/>
        <v>0.70400000000000007</v>
      </c>
      <c r="F40" s="16" t="str">
        <f t="shared" si="3"/>
        <v>P</v>
      </c>
    </row>
    <row r="41" spans="1:9">
      <c r="A41" s="8" t="s">
        <v>26</v>
      </c>
      <c r="B41" s="15">
        <f>B38*15</f>
        <v>-0.5159001108041017</v>
      </c>
      <c r="C41" s="9">
        <v>2</v>
      </c>
      <c r="D41" s="16" t="str">
        <f>IF(ABS(B41)&gt;=C41,"O","P")</f>
        <v>P</v>
      </c>
      <c r="E41" s="9">
        <f t="shared" si="2"/>
        <v>0.88</v>
      </c>
      <c r="F41" s="16" t="str">
        <f t="shared" si="3"/>
        <v>P</v>
      </c>
    </row>
    <row r="42" spans="1:9">
      <c r="A42" s="8" t="s">
        <v>27</v>
      </c>
      <c r="B42" s="15">
        <f>B38*30</f>
        <v>-1.0318002216082034</v>
      </c>
      <c r="C42" s="9">
        <v>2.4</v>
      </c>
      <c r="D42" s="16" t="str">
        <f>IF(ABS(B42)&gt;=C42,"O","P")</f>
        <v>P</v>
      </c>
      <c r="E42" s="9">
        <f t="shared" si="2"/>
        <v>1.056</v>
      </c>
      <c r="F42" s="16" t="str">
        <f t="shared" si="3"/>
        <v>P</v>
      </c>
    </row>
    <row r="43" spans="1:9">
      <c r="A43" s="8" t="s">
        <v>28</v>
      </c>
      <c r="B43" s="15"/>
      <c r="C43" s="9">
        <v>3</v>
      </c>
      <c r="D43" s="40"/>
      <c r="E43" s="9">
        <f t="shared" si="2"/>
        <v>1.32</v>
      </c>
      <c r="F43" s="40"/>
    </row>
    <row r="45" spans="1:9">
      <c r="A45" s="43" t="s">
        <v>34</v>
      </c>
      <c r="B45" s="43"/>
      <c r="C45" s="43"/>
      <c r="D45" s="28"/>
      <c r="E45" s="44">
        <f>ABS(C43/(B21-1)/100)</f>
        <v>87.22618789490329</v>
      </c>
      <c r="F45" s="44"/>
    </row>
    <row r="46" spans="1:9">
      <c r="A46" s="43" t="s">
        <v>70</v>
      </c>
      <c r="B46" s="43"/>
      <c r="C46" s="43"/>
      <c r="E46" s="44">
        <f>E45*0.44</f>
        <v>38.37952267375745</v>
      </c>
      <c r="F46" s="44"/>
    </row>
  </sheetData>
  <sheetProtection selectLockedCells="1"/>
  <protectedRanges>
    <protectedRange sqref="E12:E15 C16:D16" name="Eingabe"/>
  </protectedRanges>
  <mergeCells count="20">
    <mergeCell ref="C1:F1"/>
    <mergeCell ref="E15:F15"/>
    <mergeCell ref="E14:F14"/>
    <mergeCell ref="E13:F13"/>
    <mergeCell ref="E12:F12"/>
    <mergeCell ref="C8:F8"/>
    <mergeCell ref="C9:F9"/>
    <mergeCell ref="C2:F2"/>
    <mergeCell ref="C3:F3"/>
    <mergeCell ref="C4:F4"/>
    <mergeCell ref="C5:F5"/>
    <mergeCell ref="C6:F6"/>
    <mergeCell ref="C37:D37"/>
    <mergeCell ref="E37:F37"/>
    <mergeCell ref="A46:C46"/>
    <mergeCell ref="E46:F46"/>
    <mergeCell ref="C7:F7"/>
    <mergeCell ref="E11:F11"/>
    <mergeCell ref="E45:F45"/>
    <mergeCell ref="A45:C45"/>
  </mergeCells>
  <conditionalFormatting sqref="D38:D42">
    <cfRule type="cellIs" dxfId="7" priority="9" operator="equal">
      <formula>"P"</formula>
    </cfRule>
    <cfRule type="cellIs" dxfId="6" priority="10" operator="equal">
      <formula>"O"</formula>
    </cfRule>
  </conditionalFormatting>
  <conditionalFormatting sqref="F38:F42">
    <cfRule type="cellIs" dxfId="5" priority="5" operator="equal">
      <formula>"P"</formula>
    </cfRule>
    <cfRule type="cellIs" dxfId="4" priority="6" operator="equal">
      <formula>"O"</formula>
    </cfRule>
  </conditionalFormatting>
  <conditionalFormatting sqref="D43">
    <cfRule type="cellIs" dxfId="3" priority="3" operator="equal">
      <formula>"P"</formula>
    </cfRule>
    <cfRule type="cellIs" dxfId="2" priority="4" operator="equal">
      <formula>"O"</formula>
    </cfRule>
  </conditionalFormatting>
  <conditionalFormatting sqref="F43">
    <cfRule type="cellIs" dxfId="1" priority="1" operator="equal">
      <formula>"P"</formula>
    </cfRule>
    <cfRule type="cellIs" dxfId="0" priority="2" operator="equal">
      <formula>"O"</formula>
    </cfRule>
  </conditionalFormatting>
  <dataValidations disablePrompts="1" count="3">
    <dataValidation type="list" allowBlank="1" showInputMessage="1" showErrorMessage="1" sqref="E12">
      <formula1>"31,32,33"</formula1>
    </dataValidation>
    <dataValidation type="decimal" allowBlank="1" showInputMessage="1" showErrorMessage="1" errorTitle="Fehleingabe" error="Die Höhe muss als Dezimalzahl eingegeben werden" sqref="E15">
      <formula1>-15000</formula1>
      <formula2>15000</formula2>
    </dataValidation>
    <dataValidation type="decimal" allowBlank="1" showInputMessage="1" showErrorMessage="1" errorTitle="Fehleingabe" error="Der Hochwert muss eine Dezimalzahl mit maximal 7 Vorkommastellen sein" sqref="E14">
      <formula1>0</formula1>
      <formula2>9999999.999</formula2>
    </dataValidation>
  </dataValidations>
  <pageMargins left="1.1811023622047245" right="0.70866141732283472" top="0.78740157480314965" bottom="0.78740157480314965" header="0.31496062992125984" footer="0.31496062992125984"/>
  <pageSetup paperSize="9" orientation="portrait" r:id="rId1"/>
  <headerFooter>
    <oddHeader>&amp;L&amp;"-,Fett"&amp;16ETRS89/UTM Projektmaßstab&amp;R&amp;G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"/>
  <sheetViews>
    <sheetView topLeftCell="A19" zoomScaleNormal="100" workbookViewId="0">
      <selection activeCell="C14" sqref="C14"/>
    </sheetView>
  </sheetViews>
  <sheetFormatPr baseColWidth="10" defaultRowHeight="14.4"/>
  <cols>
    <col min="1" max="1" width="30.6640625" customWidth="1"/>
    <col min="2" max="2" width="21.44140625" customWidth="1"/>
    <col min="3" max="3" width="18.109375" customWidth="1"/>
    <col min="4" max="4" width="4" customWidth="1"/>
    <col min="5" max="7" width="0" hidden="1" customWidth="1"/>
  </cols>
  <sheetData>
    <row r="1" spans="1:4">
      <c r="A1" s="5" t="s">
        <v>38</v>
      </c>
      <c r="B1" s="53" t="str">
        <f>IF(Projektmaßstab!C1&lt;&gt;"",Projektmaßstab!C1,"")</f>
        <v>Musterliegenschaft</v>
      </c>
      <c r="C1" s="53"/>
      <c r="D1" s="53"/>
    </row>
    <row r="2" spans="1:4">
      <c r="A2" s="5"/>
      <c r="B2" s="53" t="str">
        <f>IF(Projektmaßstab!C2&lt;&gt;"",Projektmaßstab!C2,"")</f>
        <v>Am Musterweg 9, 99999 Musterdorf</v>
      </c>
      <c r="C2" s="53"/>
      <c r="D2" s="53"/>
    </row>
    <row r="3" spans="1:4">
      <c r="A3" s="5" t="s">
        <v>39</v>
      </c>
      <c r="B3" s="53">
        <f>IF(Projektmaßstab!C3&lt;&gt;"",Projektmaßstab!C3,"")</f>
        <v>123789</v>
      </c>
      <c r="C3" s="53"/>
      <c r="D3" s="53"/>
    </row>
    <row r="4" spans="1:4">
      <c r="A4" s="5" t="s">
        <v>44</v>
      </c>
      <c r="B4" s="53" t="str">
        <f>IF(Projektmaßstab!C4&lt;&gt;"",Projektmaßstab!C4,"")</f>
        <v>Musteramt</v>
      </c>
      <c r="C4" s="53"/>
      <c r="D4" s="53"/>
    </row>
    <row r="5" spans="1:4">
      <c r="A5" s="5"/>
      <c r="B5" s="53" t="str">
        <f>IF(Projektmaßstab!C5&lt;&gt;"",Projektmaßstab!C5,"")</f>
        <v>Am Musterweg 9, 99999 Musterdorf</v>
      </c>
      <c r="C5" s="53"/>
      <c r="D5" s="53"/>
    </row>
    <row r="6" spans="1:4">
      <c r="A6" s="5"/>
      <c r="B6" s="53" t="str">
        <f>IF(Projektmaßstab!C6&lt;&gt;"",Projektmaßstab!C6,"")</f>
        <v/>
      </c>
      <c r="C6" s="53"/>
      <c r="D6" s="53"/>
    </row>
    <row r="7" spans="1:4">
      <c r="A7" s="5" t="s">
        <v>40</v>
      </c>
      <c r="B7" s="53" t="str">
        <f>IF(Projektmaßstab!C7&lt;&gt;"",Projektmaßstab!C7,"")</f>
        <v>Musterprojekt</v>
      </c>
      <c r="C7" s="53"/>
      <c r="D7" s="53"/>
    </row>
    <row r="8" spans="1:4">
      <c r="A8" s="5"/>
      <c r="B8" s="53" t="str">
        <f>IF(Projektmaßstab!C8&lt;&gt;"",Projektmaßstab!C8,"")</f>
        <v/>
      </c>
      <c r="C8" s="53"/>
      <c r="D8" s="53"/>
    </row>
    <row r="9" spans="1:4">
      <c r="A9" s="5" t="s">
        <v>41</v>
      </c>
      <c r="B9" s="51">
        <f>IF(Projektmaßstab!C9&lt;&gt;"",Projektmaßstab!C9,"")</f>
        <v>43678</v>
      </c>
      <c r="C9" s="51"/>
      <c r="D9" s="51"/>
    </row>
    <row r="10" spans="1:4">
      <c r="A10" s="5"/>
      <c r="B10" s="17"/>
      <c r="C10" s="17"/>
      <c r="D10" s="17"/>
    </row>
    <row r="11" spans="1:4" ht="21">
      <c r="A11" s="54" t="s">
        <v>58</v>
      </c>
      <c r="B11" s="54"/>
      <c r="C11" s="54"/>
      <c r="D11" s="54"/>
    </row>
    <row r="13" spans="1:4" ht="18" thickBot="1">
      <c r="A13" s="6" t="s">
        <v>48</v>
      </c>
      <c r="B13" s="6"/>
      <c r="C13" s="46"/>
      <c r="D13" s="46"/>
    </row>
    <row r="14" spans="1:4" ht="15" thickTop="1">
      <c r="A14" s="5" t="s">
        <v>49</v>
      </c>
      <c r="C14" s="22">
        <f>-(Projektmaßstab!$E$12*10^6+Projektmaßstab!$E$13)</f>
        <v>-32420123.123</v>
      </c>
      <c r="D14" s="19" t="s">
        <v>57</v>
      </c>
    </row>
    <row r="15" spans="1:4">
      <c r="A15" s="5" t="s">
        <v>50</v>
      </c>
      <c r="C15" s="22">
        <f>-Projektmaßstab!$E$14</f>
        <v>-5789123</v>
      </c>
      <c r="D15" s="20" t="s">
        <v>57</v>
      </c>
    </row>
    <row r="17" spans="1:4" ht="18" thickBot="1">
      <c r="A17" s="6" t="s">
        <v>59</v>
      </c>
      <c r="B17" s="6"/>
      <c r="C17" s="46"/>
      <c r="D17" s="46"/>
    </row>
    <row r="18" spans="1:4" ht="15" thickTop="1">
      <c r="A18" s="5" t="s">
        <v>51</v>
      </c>
      <c r="B18" s="23">
        <f>1/Projektmaßstab!$B$21</f>
        <v>1.0003440517380893</v>
      </c>
      <c r="C18" s="55">
        <f>(B18-1)*100^2</f>
        <v>3.4405173808926826</v>
      </c>
      <c r="D18" s="55"/>
    </row>
    <row r="20" spans="1:4" ht="18" thickBot="1">
      <c r="A20" s="6" t="s">
        <v>52</v>
      </c>
      <c r="B20" s="6"/>
      <c r="C20" s="46"/>
      <c r="D20" s="46"/>
    </row>
    <row r="21" spans="1:4" ht="15" thickTop="1">
      <c r="A21" s="5" t="s">
        <v>54</v>
      </c>
      <c r="C21" s="36">
        <v>180.12299999999999</v>
      </c>
      <c r="D21" s="18" t="s">
        <v>53</v>
      </c>
    </row>
    <row r="23" spans="1:4" ht="18" thickBot="1">
      <c r="A23" s="6" t="s">
        <v>55</v>
      </c>
      <c r="B23" s="6"/>
      <c r="C23" s="46"/>
      <c r="D23" s="46"/>
    </row>
    <row r="24" spans="1:4" ht="15" thickTop="1">
      <c r="A24" s="5" t="s">
        <v>63</v>
      </c>
      <c r="C24" s="37">
        <v>100.25</v>
      </c>
      <c r="D24" s="18" t="s">
        <v>57</v>
      </c>
    </row>
    <row r="25" spans="1:4">
      <c r="A25" s="5" t="s">
        <v>56</v>
      </c>
      <c r="C25" s="37">
        <v>120.657</v>
      </c>
      <c r="D25" s="18" t="s">
        <v>57</v>
      </c>
    </row>
    <row r="28" spans="1:4" ht="21">
      <c r="A28" s="54" t="s">
        <v>60</v>
      </c>
      <c r="B28" s="54"/>
      <c r="C28" s="54"/>
      <c r="D28" s="54"/>
    </row>
    <row r="30" spans="1:4" ht="18" thickBot="1">
      <c r="A30" s="6" t="s">
        <v>55</v>
      </c>
      <c r="B30" s="6"/>
      <c r="C30" s="46"/>
      <c r="D30" s="46"/>
    </row>
    <row r="31" spans="1:4" ht="15" thickTop="1">
      <c r="A31" s="5" t="s">
        <v>63</v>
      </c>
      <c r="C31" s="25">
        <f>-IF(C24="",,--C24)</f>
        <v>-100.25</v>
      </c>
      <c r="D31" s="18" t="s">
        <v>57</v>
      </c>
    </row>
    <row r="32" spans="1:4">
      <c r="A32" s="5" t="s">
        <v>56</v>
      </c>
      <c r="C32" s="25">
        <f>-IF(C25="",,--C25)</f>
        <v>-120.657</v>
      </c>
      <c r="D32" s="18" t="s">
        <v>57</v>
      </c>
    </row>
    <row r="34" spans="1:4" ht="18" thickBot="1">
      <c r="A34" s="6" t="s">
        <v>52</v>
      </c>
      <c r="B34" s="6"/>
      <c r="C34" s="46"/>
      <c r="D34" s="46"/>
    </row>
    <row r="35" spans="1:4" ht="15" thickTop="1">
      <c r="A35" s="5" t="s">
        <v>54</v>
      </c>
      <c r="C35" s="24">
        <f>-C21</f>
        <v>-180.12299999999999</v>
      </c>
      <c r="D35" s="18" t="s">
        <v>53</v>
      </c>
    </row>
    <row r="37" spans="1:4" ht="18" thickBot="1">
      <c r="A37" s="6" t="s">
        <v>59</v>
      </c>
      <c r="B37" s="6"/>
      <c r="C37" s="46"/>
      <c r="D37" s="46"/>
    </row>
    <row r="38" spans="1:4" ht="15" thickTop="1">
      <c r="A38" s="5" t="s">
        <v>51</v>
      </c>
      <c r="B38" s="21">
        <f>1/B18</f>
        <v>0.99965606659279727</v>
      </c>
      <c r="C38" s="55">
        <f>(B38-1)*100^2</f>
        <v>-3.4393340720273446</v>
      </c>
      <c r="D38" s="55"/>
    </row>
    <row r="40" spans="1:4" ht="18" thickBot="1">
      <c r="A40" s="6" t="s">
        <v>61</v>
      </c>
      <c r="B40" s="6"/>
      <c r="C40" s="46"/>
      <c r="D40" s="46"/>
    </row>
    <row r="41" spans="1:4" ht="15" thickTop="1">
      <c r="A41" s="5" t="s">
        <v>49</v>
      </c>
      <c r="C41" s="22">
        <f>-C14</f>
        <v>32420123.123</v>
      </c>
      <c r="D41" s="19" t="s">
        <v>57</v>
      </c>
    </row>
    <row r="42" spans="1:4">
      <c r="A42" s="5" t="s">
        <v>50</v>
      </c>
      <c r="C42" s="22">
        <f>-C15</f>
        <v>5789123</v>
      </c>
      <c r="D42" s="20" t="s">
        <v>57</v>
      </c>
    </row>
  </sheetData>
  <sheetProtection algorithmName="SHA-512" hashValue="zdBm0Y5hqq5LuOvOWT5k8uaoVa3Py+gtYy14at2OoJ+QPbrYkuVwDbBurwM5/bFM/n4w/CUsRtK0BE9sRSHKFg==" saltValue="2JuDsQecs72F9JG1Wx9WVQ==" spinCount="100000" sheet="1" objects="1" scenarios="1"/>
  <mergeCells count="21">
    <mergeCell ref="C30:D30"/>
    <mergeCell ref="C34:D34"/>
    <mergeCell ref="C37:D37"/>
    <mergeCell ref="C38:D38"/>
    <mergeCell ref="C40:D40"/>
    <mergeCell ref="A28:D28"/>
    <mergeCell ref="B7:D7"/>
    <mergeCell ref="B8:D8"/>
    <mergeCell ref="B9:D9"/>
    <mergeCell ref="C13:D13"/>
    <mergeCell ref="C17:D17"/>
    <mergeCell ref="C18:D18"/>
    <mergeCell ref="C20:D20"/>
    <mergeCell ref="C23:D23"/>
    <mergeCell ref="A11:D11"/>
    <mergeCell ref="B6:D6"/>
    <mergeCell ref="B1:D1"/>
    <mergeCell ref="B2:D2"/>
    <mergeCell ref="B3:D3"/>
    <mergeCell ref="B4:D4"/>
    <mergeCell ref="B5:D5"/>
  </mergeCells>
  <dataValidations count="1">
    <dataValidation type="decimal" allowBlank="1" showInputMessage="1" showErrorMessage="1" errorTitle="Drehwinkeleingabe" error="Geben Sie einen Wert zwischewn 0 ud 360 Grad ein" sqref="C21 C35">
      <formula1>0</formula1>
      <formula2>360</formula2>
    </dataValidation>
  </dataValidations>
  <pageMargins left="1.1811023622047243" right="0.70866141732283461" top="0.78740157480314965" bottom="0.78740157480314965" header="0.31496062992125984" footer="0.31496062992125984"/>
  <pageSetup paperSize="9" orientation="portrait" r:id="rId1"/>
  <headerFooter>
    <oddHeader>&amp;L&amp;"-,Fett"&amp;16ETRS89/UTM Projektmaßstab&amp;R&amp;G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13"/>
  <sheetViews>
    <sheetView workbookViewId="0">
      <selection activeCell="I17" sqref="I17"/>
    </sheetView>
  </sheetViews>
  <sheetFormatPr baseColWidth="10" defaultRowHeight="14.4"/>
  <cols>
    <col min="1" max="1" width="11.88671875" bestFit="1" customWidth="1"/>
    <col min="2" max="2" width="33.33203125" customWidth="1"/>
  </cols>
  <sheetData>
    <row r="1" spans="1:2" ht="15.6">
      <c r="A1" s="2" t="s">
        <v>4</v>
      </c>
    </row>
    <row r="2" spans="1:2">
      <c r="A2" t="s">
        <v>0</v>
      </c>
      <c r="B2">
        <v>6378137</v>
      </c>
    </row>
    <row r="3" spans="1:2">
      <c r="A3" t="s">
        <v>1</v>
      </c>
      <c r="B3">
        <v>298.25722210100002</v>
      </c>
    </row>
    <row r="4" spans="1:2">
      <c r="A4" t="s">
        <v>2</v>
      </c>
      <c r="B4" s="1">
        <f>a_GRS80*(1-1/f_inv_GRS80)</f>
        <v>6356752.3141403561</v>
      </c>
    </row>
    <row r="5" spans="1:2">
      <c r="A5" t="s">
        <v>3</v>
      </c>
      <c r="B5">
        <f>1-(b_GRS80/a_GRS80)^2</f>
        <v>6.6943800229007921E-3</v>
      </c>
    </row>
    <row r="7" spans="1:2">
      <c r="A7" t="s">
        <v>10</v>
      </c>
      <c r="B7">
        <f>(a_GRS80-b_GRS80)/(a_GRS80+b_GRS80)</f>
        <v>1.6792203946287211E-3</v>
      </c>
    </row>
    <row r="9" spans="1:2" ht="15.6">
      <c r="A9" s="2" t="s">
        <v>62</v>
      </c>
    </row>
    <row r="10" spans="1:2">
      <c r="A10" t="s">
        <v>13</v>
      </c>
      <c r="B10">
        <v>0.99960000000000004</v>
      </c>
    </row>
    <row r="12" spans="1:2">
      <c r="A12" s="5" t="s">
        <v>15</v>
      </c>
    </row>
    <row r="13" spans="1:2">
      <c r="A13" t="s">
        <v>16</v>
      </c>
      <c r="B13">
        <f>180/PI()</f>
        <v>57.295779513082323</v>
      </c>
    </row>
  </sheetData>
  <sheetProtection algorithmName="SHA-512" hashValue="r86ord39Pjy8jItdjM1KEkh6gUjnbdDa1OhX2V+79J5D/TGMO54bjAq42zhzByAPL1d8O2hc2RFciN5NfhNTHg==" saltValue="8LzGP9ASht6BGxOWrFk+9g==" spinCount="100000" sheet="1" selectLockedCells="1" selectUnlockedCells="1"/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17</vt:i4>
      </vt:variant>
    </vt:vector>
  </HeadingPairs>
  <TitlesOfParts>
    <vt:vector size="20" baseType="lpstr">
      <vt:lpstr>Projektmaßstab</vt:lpstr>
      <vt:lpstr>Transformation</vt:lpstr>
      <vt:lpstr>Parameter</vt:lpstr>
      <vt:lpstr>a_GRS80</vt:lpstr>
      <vt:lpstr>b_GRS80</vt:lpstr>
      <vt:lpstr>e_2</vt:lpstr>
      <vt:lpstr>E_m</vt:lpstr>
      <vt:lpstr>f_inv_GRS80</vt:lpstr>
      <vt:lpstr>h_m</vt:lpstr>
      <vt:lpstr>Hochwert</vt:lpstr>
      <vt:lpstr>l_0</vt:lpstr>
      <vt:lpstr>m_0</vt:lpstr>
      <vt:lpstr>N_f</vt:lpstr>
      <vt:lpstr>n_GRS80</vt:lpstr>
      <vt:lpstr>N_m</vt:lpstr>
      <vt:lpstr>Normalhoehe</vt:lpstr>
      <vt:lpstr>Ostwert</vt:lpstr>
      <vt:lpstr>phi_f</vt:lpstr>
      <vt:lpstr>rho</vt:lpstr>
      <vt:lpstr>UTM_Zone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Prof. Dr.-Ing. Heinz Runne</dc:creator>
  <cp:lastModifiedBy>Uwe Lindemann</cp:lastModifiedBy>
  <cp:lastPrinted>2019-11-18T18:09:34Z</cp:lastPrinted>
  <dcterms:created xsi:type="dcterms:W3CDTF">2019-07-31T12:47:44Z</dcterms:created>
  <dcterms:modified xsi:type="dcterms:W3CDTF">2019-11-22T08:27:13Z</dcterms:modified>
</cp:coreProperties>
</file>